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/>
  <mc:AlternateContent xmlns:mc="http://schemas.openxmlformats.org/markup-compatibility/2006">
    <mc:Choice Requires="x15">
      <x15ac:absPath xmlns:x15ac="http://schemas.microsoft.com/office/spreadsheetml/2010/11/ac" url="/Users/kabirfrutos/Downloads/"/>
    </mc:Choice>
  </mc:AlternateContent>
  <xr:revisionPtr revIDLastSave="0" documentId="13_ncr:1_{04A54C94-B584-C140-9B22-E3CCFEEC6C19}" xr6:coauthVersionLast="47" xr6:coauthVersionMax="47" xr10:uidLastSave="{00000000-0000-0000-0000-000000000000}"/>
  <workbookProtection lockStructure="1"/>
  <bookViews>
    <workbookView xWindow="0" yWindow="500" windowWidth="38400" windowHeight="21100" xr2:uid="{00000000-000D-0000-FFFF-FFFF00000000}"/>
  </bookViews>
  <sheets>
    <sheet name="Inicio" sheetId="1" r:id="rId1"/>
    <sheet name="Parametros_CCAA" sheetId="2" r:id="rId2"/>
    <sheet name="Compra_Alquiler" sheetId="3" r:id="rId3"/>
    <sheet name="Flip_Reforma_Venta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4" l="1"/>
  <c r="F4" i="3"/>
  <c r="F13" i="4" l="1"/>
  <c r="F11" i="4"/>
  <c r="F12" i="4" s="1"/>
  <c r="F10" i="4"/>
  <c r="F9" i="4"/>
  <c r="F7" i="4"/>
  <c r="F8" i="4" s="1"/>
  <c r="F6" i="4"/>
  <c r="F5" i="4"/>
  <c r="F4" i="4"/>
  <c r="F21" i="3"/>
  <c r="F17" i="3"/>
  <c r="F18" i="3" s="1"/>
  <c r="F16" i="3"/>
  <c r="F11" i="3"/>
  <c r="F20" i="3" s="1"/>
  <c r="F22" i="3" s="1"/>
  <c r="F23" i="3" s="1"/>
  <c r="F24" i="3" s="1"/>
  <c r="F10" i="3"/>
  <c r="F9" i="3"/>
  <c r="F7" i="3"/>
  <c r="F6" i="3"/>
  <c r="F5" i="3"/>
  <c r="F8" i="3" l="1"/>
  <c r="F13" i="3" s="1"/>
  <c r="F14" i="3" s="1"/>
  <c r="F14" i="4"/>
  <c r="F19" i="3"/>
  <c r="F12" i="3"/>
  <c r="F15" i="3"/>
  <c r="F26" i="3" l="1"/>
  <c r="F27" i="3"/>
  <c r="F25" i="3"/>
  <c r="F28" i="3" s="1"/>
  <c r="B29" i="3" s="1"/>
  <c r="B30" i="3" s="1"/>
  <c r="F22" i="4"/>
  <c r="F19" i="4"/>
  <c r="F16" i="4"/>
  <c r="F17" i="4" l="1"/>
  <c r="F18" i="4" s="1"/>
  <c r="F21" i="4" l="1"/>
  <c r="F20" i="4"/>
  <c r="B25" i="4" s="1"/>
  <c r="B26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OpenAI</author>
  </authors>
  <commentList>
    <comment ref="B4" authorId="0" shapeId="0" xr:uid="{00000000-0006-0000-0200-000001000000}">
      <text>
        <r>
          <rPr>
            <sz val="11"/>
            <color rgb="FF000000"/>
            <rFont val="Calibri"/>
            <family val="2"/>
          </rPr>
          <t>Selecciona la comunidad autónoma. Los tipos generales se alimentan de la hoja Parametros_CCAA.</t>
        </r>
      </text>
    </comment>
    <comment ref="B5" authorId="0" shapeId="0" xr:uid="{00000000-0006-0000-0200-000002000000}">
      <text>
        <r>
          <rPr>
            <sz val="11"/>
            <color theme="1"/>
            <rFont val="Calibri"/>
            <family val="2"/>
            <scheme val="minor"/>
          </rPr>
          <t>Escoge si compras segunda mano (ITP) u obra nueva (IVA + AJD).</t>
        </r>
      </text>
    </comment>
    <comment ref="B7" authorId="0" shapeId="0" xr:uid="{00000000-0006-0000-0200-000003000000}">
      <text>
        <r>
          <rPr>
            <sz val="11"/>
            <color rgb="FF000000"/>
            <rFont val="Calibri"/>
            <family val="2"/>
          </rPr>
          <t>El valor de referencia puede afectar la base del ITP. Confírmalo antes de firmar.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OpenAI</author>
  </authors>
  <commentList>
    <comment ref="B15" authorId="0" shapeId="0" xr:uid="{00000000-0006-0000-0300-000001000000}">
      <text>
        <r>
          <rPr>
            <sz val="11"/>
            <color theme="1"/>
            <rFont val="Calibri"/>
            <family val="2"/>
            <scheme val="minor"/>
          </rPr>
          <t>Usa un precio de salida conservador, no el que te gustaría conseguir en un día perfecto.</t>
        </r>
      </text>
    </comment>
  </commentList>
</comments>
</file>

<file path=xl/sharedStrings.xml><?xml version="1.0" encoding="utf-8"?>
<sst xmlns="http://schemas.openxmlformats.org/spreadsheetml/2006/main" count="194" uniqueCount="133">
  <si>
    <t>Plantilla premium de análisis inmobiliario</t>
  </si>
  <si>
    <t>Cómo usar el archivo</t>
  </si>
  <si>
    <t>Este archivo sirve para analizar operaciones inmobiliarias en España antes de firmar.
Incluye dos plantillas separadas dentro del mismo Excel:
• Compra_Alquiler → para comprar y mantener en alquiler
• Flip_Reforma_Venta → para comprar, reformar y vender
La hoja Parametros_CCAA contiene tipos generales orientativos de ITP y AJD por comunidad autónoma.
Importante: revisa bonificaciones, tipos reducidos, vivienda habitual, edad, discapacidad, VPO, grandes tenedores y cambios normativos autonómicos antes de usar la cifra final.</t>
  </si>
  <si>
    <t>Leyenda</t>
  </si>
  <si>
    <t>Inputs editables</t>
  </si>
  <si>
    <t>Introduce aquí tus datos y escenarios</t>
  </si>
  <si>
    <t>Cálculos automáticos</t>
  </si>
  <si>
    <t>No editar salvo que quieras modificar la lógica</t>
  </si>
  <si>
    <t>Controles / tasas</t>
  </si>
  <si>
    <t>Supuestos fiscales y parámetros</t>
  </si>
  <si>
    <t>Revisar</t>
  </si>
  <si>
    <t>Supuesto sensible o que conviene validar</t>
  </si>
  <si>
    <t>Checklist rápido antes de decidir</t>
  </si>
  <si>
    <t>1. Confirma si la compra tributa por ITP o por IVA + AJD.
2. Compara el precio con el valor de referencia del Catastro.
3. Añade todos los costes: reforma, licencias, honorarios y financiación.
4. Revisa si el alquiler previsto es realista y descuenta vacancia.
5. Valida la fiscalidad final con tu asesor antes de firmar.</t>
  </si>
  <si>
    <t>Tipos generales orientativos por comunidad autónoma</t>
  </si>
  <si>
    <t>Segunda mano</t>
  </si>
  <si>
    <t>Comunidad Autónoma</t>
  </si>
  <si>
    <t>ITP general</t>
  </si>
  <si>
    <t>AJD general</t>
  </si>
  <si>
    <t>Notas</t>
  </si>
  <si>
    <t>Obra nueva</t>
  </si>
  <si>
    <t>Andalucía</t>
  </si>
  <si>
    <t>Tipo general orientativo en vivienda usada; revisar reducidos/bonificaciones.</t>
  </si>
  <si>
    <t>Aragón</t>
  </si>
  <si>
    <t>Tipo general orientativo.</t>
  </si>
  <si>
    <t>Asturias</t>
  </si>
  <si>
    <t>Baleares</t>
  </si>
  <si>
    <t>Tipo general/tramos; revisar progresividad.</t>
  </si>
  <si>
    <t>Canarias</t>
  </si>
  <si>
    <t>IGIC vivienda nueva 7% / general 6,5%; aquí se usa referencia general orientativa.</t>
  </si>
  <si>
    <t>Cantabria</t>
  </si>
  <si>
    <t>Castilla-La Mancha</t>
  </si>
  <si>
    <t>Castilla y León</t>
  </si>
  <si>
    <t>Tipo general con tramos; revisar exceso sobre ciertos importes.</t>
  </si>
  <si>
    <t>Cataluña</t>
  </si>
  <si>
    <t>Desde 27/06/2025 existen tramos superiores del 11%, 12% y 13%; revisar grandes tenedores.</t>
  </si>
  <si>
    <t>Comunidad de Madrid</t>
  </si>
  <si>
    <t>Comunidad Valenciana</t>
  </si>
  <si>
    <t>Tipo general actual a marzo de 2026; idealista indica reducción al 9% desde 30/06/2026 salvo tramos superiores.</t>
  </si>
  <si>
    <t>Extremadura</t>
  </si>
  <si>
    <t>General entre 8% y 11%; aquí se usa mínimo general como referencia.</t>
  </si>
  <si>
    <t>Galicia</t>
  </si>
  <si>
    <t>La Rioja</t>
  </si>
  <si>
    <t>Murcia</t>
  </si>
  <si>
    <t>Navarra</t>
  </si>
  <si>
    <t>Territorio foral; revisar normativa foral vigente.</t>
  </si>
  <si>
    <t>País Vasco</t>
  </si>
  <si>
    <t>Territorio foral; revisar Álava, Bizkaia o Gipuzkoa.</t>
  </si>
  <si>
    <t>IVA vivienda nueva (España peninsular/Baleares)</t>
  </si>
  <si>
    <t>Referencia general. En Canarias aplica IGIC y en VPO pueden existir tipos reducidos.</t>
  </si>
  <si>
    <t>Fecha de referencia</t>
  </si>
  <si>
    <t>08/03/2026</t>
  </si>
  <si>
    <t>Actualiza esta hoja cuando cambien normas autonómicas.</t>
  </si>
  <si>
    <t>Plantilla 1 · Compra para alquilar</t>
  </si>
  <si>
    <t>Resultados automáticos</t>
  </si>
  <si>
    <t>Comunidad autónoma</t>
  </si>
  <si>
    <t>La fiscalidad cambia según comunidad.</t>
  </si>
  <si>
    <t>ITP general CCAA</t>
  </si>
  <si>
    <t>Tipo de compra</t>
  </si>
  <si>
    <t>Segunda mano u obra nueva.</t>
  </si>
  <si>
    <t>AJD general CCAA</t>
  </si>
  <si>
    <t>Precio de compra (€)</t>
  </si>
  <si>
    <t/>
  </si>
  <si>
    <t>IVA vivienda nueva</t>
  </si>
  <si>
    <t>Valor de referencia (€)</t>
  </si>
  <si>
    <t>Si existe y es superior, puede mandar para ITP.</t>
  </si>
  <si>
    <t>Base fiscal compra</t>
  </si>
  <si>
    <t>Reforma / puesta a punto (€)</t>
  </si>
  <si>
    <t>ITP estimado</t>
  </si>
  <si>
    <t>Notaría + registro + gestoría (€)</t>
  </si>
  <si>
    <t>IVA estimado</t>
  </si>
  <si>
    <t>Honorarios agencia / buyer agent (€)</t>
  </si>
  <si>
    <t>AJD estimado</t>
  </si>
  <si>
    <t>% financiación sobre compra</t>
  </si>
  <si>
    <t>Importe préstamo</t>
  </si>
  <si>
    <t>Tipo interés anual</t>
  </si>
  <si>
    <t>Entrada sobre precio</t>
  </si>
  <si>
    <t>Plazo hipoteca (años)</t>
  </si>
  <si>
    <t>Coste total adquisición</t>
  </si>
  <si>
    <t>Alquiler mensual esperado (€)</t>
  </si>
  <si>
    <t>Capital propio total</t>
  </si>
  <si>
    <t>Vacancia esperada</t>
  </si>
  <si>
    <t>Cuota hipotecaria anual</t>
  </si>
  <si>
    <t>Comunidad anual (€)</t>
  </si>
  <si>
    <t>Ingresos brutos anuales</t>
  </si>
  <si>
    <t>IBI anual (€)</t>
  </si>
  <si>
    <t>Gasto de gestión alquiler</t>
  </si>
  <si>
    <t>Seguro anual (€)</t>
  </si>
  <si>
    <t>Gastos operativos anuales</t>
  </si>
  <si>
    <t>Mantenimiento anual (€)</t>
  </si>
  <si>
    <t>NOI / resultado operativo</t>
  </si>
  <si>
    <t>Gestión alquiler (%)</t>
  </si>
  <si>
    <t>Intereses anuales estimados</t>
  </si>
  <si>
    <t>Otros gastos anuales (€)</t>
  </si>
  <si>
    <t>Amortización estimada</t>
  </si>
  <si>
    <t>Tipo marginal IRPF</t>
  </si>
  <si>
    <t>Ajusta según tu caso real.</t>
  </si>
  <si>
    <t>Rendimiento neto fiscal</t>
  </si>
  <si>
    <t>Reducción alquiler vivienda habitual</t>
  </si>
  <si>
    <t>General 50%; revisa supuestos reforzados.</t>
  </si>
  <si>
    <t>Base IRPF tras reducción</t>
  </si>
  <si>
    <t>% valor construcción amortizable</t>
  </si>
  <si>
    <t>Supuesto simplificado; la amortización fiscal real exige más detalle.</t>
  </si>
  <si>
    <t>IRPF estimado</t>
  </si>
  <si>
    <t>Cash flow anual tras deuda e IRPF</t>
  </si>
  <si>
    <t>Rentabilidad bruta</t>
  </si>
  <si>
    <t>Rentabilidad neta operativa</t>
  </si>
  <si>
    <t>Decisión rápida</t>
  </si>
  <si>
    <t>Cash-on-cash</t>
  </si>
  <si>
    <t>Semáforo</t>
  </si>
  <si>
    <t>Lectura</t>
  </si>
  <si>
    <t>Plantilla 2 · Compra, reforma y venta</t>
  </si>
  <si>
    <t>Reforma (€)</t>
  </si>
  <si>
    <t>Licencias + técnicos (€)</t>
  </si>
  <si>
    <t>Honorarios compra (€)</t>
  </si>
  <si>
    <t>Interés proyecto estimado</t>
  </si>
  <si>
    <t>Imprevistos obra/licencias</t>
  </si>
  <si>
    <t>Plazo proyecto (meses)</t>
  </si>
  <si>
    <t>Coste total proyecto antes venta</t>
  </si>
  <si>
    <t>Precio de venta estimado (€)</t>
  </si>
  <si>
    <t>Costes de venta</t>
  </si>
  <si>
    <t>Honorarios venta (%)</t>
  </si>
  <si>
    <t>Beneficio antes impuesto</t>
  </si>
  <si>
    <t>Otros costes venta (€)</t>
  </si>
  <si>
    <t>Impuesto estimado</t>
  </si>
  <si>
    <t>Imprevistos sobre obra/licencias</t>
  </si>
  <si>
    <t>Beneficio neto</t>
  </si>
  <si>
    <t>Tipo IRPF ahorro estimado</t>
  </si>
  <si>
    <t>Supuesto simplificado.</t>
  </si>
  <si>
    <t>Capital propio comprometido</t>
  </si>
  <si>
    <t>ROI neto sobre capital propio</t>
  </si>
  <si>
    <t>Margen neto sobre venta</t>
  </si>
  <si>
    <t>Precio mínimo de equilibrio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</si>
</sst>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0\€;[Red]\(#,##0.00\€\);\-"/>
  </numFmts>
  <fonts count="10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color rgb="FF0000FF"/>
      <name val="Calibri"/>
    </font>
    <font>
      <sz val="11"/>
      <color rgb="FF000000"/>
      <name val="Calibri"/>
    </font>
    <font>
      <sz val="11"/>
      <color rgb="FF7030A0"/>
      <name val="Calibri"/>
    </font>
    <font>
      <sz val="11"/>
      <color rgb="FFC65911"/>
      <name val="Calibri"/>
    </font>
    <font>
      <b/>
      <sz val="14"/>
      <color theme="1"/>
      <name val="Calibri (Body)"/>
    </font>
    <font>
      <sz val="11"/>
      <color theme="1"/>
      <name val="Calibri (Body)"/>
    </font>
    <font>
      <b/>
      <sz val="13"/>
      <color theme="1"/>
      <name val="Calibri (Body)"/>
    </font>
    <font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E7E6E6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E4DFEC"/>
      </patternFill>
    </fill>
    <fill>
      <patternFill patternType="solid">
        <fgColor rgb="FFFCE4D6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/>
    <xf numFmtId="0" fontId="0" fillId="3" borderId="0" xfId="0" applyFill="1" applyAlignment="1">
      <alignment vertical="top" wrapText="1"/>
    </xf>
    <xf numFmtId="0" fontId="2" fillId="4" borderId="0" xfId="0" applyFont="1" applyFill="1"/>
    <xf numFmtId="0" fontId="3" fillId="5" borderId="0" xfId="0" applyFont="1" applyFill="1"/>
    <xf numFmtId="0" fontId="4" fillId="6" borderId="0" xfId="0" applyFont="1" applyFill="1"/>
    <xf numFmtId="0" fontId="5" fillId="7" borderId="0" xfId="0" applyFont="1" applyFill="1"/>
    <xf numFmtId="0" fontId="0" fillId="0" borderId="0" xfId="0" applyAlignment="1">
      <alignment vertical="top" wrapText="1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left" vertical="center"/>
    </xf>
    <xf numFmtId="164" fontId="0" fillId="0" borderId="0" xfId="0" applyNumberFormat="1"/>
    <xf numFmtId="0" fontId="0" fillId="0" borderId="1" xfId="0" applyBorder="1"/>
    <xf numFmtId="164" fontId="3" fillId="5" borderId="0" xfId="0" applyNumberFormat="1" applyFont="1" applyFill="1"/>
    <xf numFmtId="165" fontId="3" fillId="5" borderId="0" xfId="0" applyNumberFormat="1" applyFont="1" applyFill="1"/>
    <xf numFmtId="0" fontId="1" fillId="2" borderId="1" xfId="0" applyFont="1" applyFill="1" applyBorder="1"/>
    <xf numFmtId="0" fontId="1" fillId="7" borderId="0" xfId="0" applyFont="1" applyFill="1"/>
    <xf numFmtId="164" fontId="0" fillId="5" borderId="0" xfId="0" applyNumberFormat="1" applyFill="1"/>
    <xf numFmtId="165" fontId="0" fillId="5" borderId="0" xfId="0" applyNumberFormat="1" applyFill="1"/>
    <xf numFmtId="0" fontId="0" fillId="0" borderId="0" xfId="0"/>
    <xf numFmtId="0" fontId="0" fillId="0" borderId="0" xfId="0" applyAlignment="1">
      <alignment vertical="top" wrapText="1"/>
    </xf>
    <xf numFmtId="0" fontId="6" fillId="8" borderId="0" xfId="0" applyFont="1" applyFill="1" applyAlignment="1">
      <alignment horizontal="left" vertical="center"/>
    </xf>
    <xf numFmtId="0" fontId="7" fillId="8" borderId="0" xfId="0" applyFont="1" applyFill="1"/>
    <xf numFmtId="0" fontId="8" fillId="8" borderId="0" xfId="0" applyFont="1" applyFill="1"/>
    <xf numFmtId="0" fontId="8" fillId="8" borderId="0" xfId="0" applyFont="1" applyFill="1" applyAlignment="1">
      <alignment horizontal="left" vertical="center"/>
    </xf>
    <xf numFmtId="0" fontId="2" fillId="6" borderId="0" xfId="0" applyFont="1" applyFill="1" applyProtection="1">
      <protection locked="0"/>
    </xf>
    <xf numFmtId="165" fontId="2" fillId="4" borderId="0" xfId="0" applyNumberFormat="1" applyFont="1" applyFill="1" applyProtection="1">
      <protection locked="0"/>
    </xf>
    <xf numFmtId="164" fontId="2" fillId="4" borderId="0" xfId="0" applyNumberFormat="1" applyFont="1" applyFill="1" applyProtection="1">
      <protection locked="0"/>
    </xf>
    <xf numFmtId="0" fontId="2" fillId="4" borderId="0" xfId="0" applyFont="1" applyFill="1" applyProtection="1">
      <protection locked="0"/>
    </xf>
  </cellXfs>
  <cellStyles count="1">
    <cellStyle name="Normal" xfId="0" builtinId="0"/>
  </cellStyles>
  <dxfs count="6">
    <dxf>
      <fill>
        <patternFill>
          <bgColor rgb="FFF4CCCC"/>
        </patternFill>
      </fill>
    </dxf>
    <dxf>
      <fill>
        <patternFill>
          <bgColor rgb="FFFFE699"/>
        </patternFill>
      </fill>
    </dxf>
    <dxf>
      <fill>
        <patternFill>
          <bgColor rgb="FFC6E0B4"/>
        </patternFill>
      </fill>
    </dxf>
    <dxf>
      <fill>
        <patternFill>
          <bgColor rgb="FFF4CCCC"/>
        </patternFill>
      </fill>
    </dxf>
    <dxf>
      <fill>
        <patternFill>
          <bgColor rgb="FFFFE699"/>
        </patternFill>
      </fill>
    </dxf>
    <dxf>
      <fill>
        <patternFill>
          <bgColor rgb="FFC6E0B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5041900</xdr:colOff>
      <xdr:row>2</xdr:row>
      <xdr:rowOff>76200</xdr:rowOff>
    </xdr:from>
    <xdr:to>
      <xdr:col>4</xdr:col>
      <xdr:colOff>59225</xdr:colOff>
      <xdr:row>4</xdr:row>
      <xdr:rowOff>1372362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0F9933C-F215-F5AE-5F26-07C744533A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04100" y="508000"/>
          <a:ext cx="2484925" cy="16771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533400</xdr:colOff>
      <xdr:row>53</xdr:row>
      <xdr:rowOff>139700</xdr:rowOff>
    </xdr:to>
    <xdr:sp macro="" textlink="">
      <xdr:nvSpPr>
        <xdr:cNvPr id="1028" name="Text Box 4" hidden="1">
          <a:extLst>
            <a:ext uri="{FF2B5EF4-FFF2-40B4-BE49-F238E27FC236}">
              <a16:creationId xmlns:a16="http://schemas.microsoft.com/office/drawing/2014/main" id="{2E2ACA30-3477-4293-12FD-CF1F12E7AB0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700000" cy="1270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533400</xdr:colOff>
      <xdr:row>53</xdr:row>
      <xdr:rowOff>139700</xdr:rowOff>
    </xdr:to>
    <xdr:sp macro="" textlink="">
      <xdr:nvSpPr>
        <xdr:cNvPr id="2050" name="Text Box 2" hidden="1">
          <a:extLst>
            <a:ext uri="{FF2B5EF4-FFF2-40B4-BE49-F238E27FC236}">
              <a16:creationId xmlns:a16="http://schemas.microsoft.com/office/drawing/2014/main" id="{F636FF9C-E9FF-E087-3D83-89E180D7020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700000" cy="1270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15"/>
  <sheetViews>
    <sheetView showGridLines="0" tabSelected="1" workbookViewId="0">
      <selection activeCell="K15" sqref="K15"/>
    </sheetView>
  </sheetViews>
  <sheetFormatPr baseColWidth="10" defaultColWidth="8.83203125" defaultRowHeight="15" x14ac:dyDescent="0.2"/>
  <cols>
    <col min="1" max="1" width="3" customWidth="1"/>
    <col min="2" max="2" width="28" customWidth="1"/>
    <col min="3" max="3" width="72" customWidth="1"/>
    <col min="4" max="4" width="26" customWidth="1"/>
  </cols>
  <sheetData>
    <row r="2" spans="2:4" ht="19" x14ac:dyDescent="0.2">
      <c r="B2" s="20" t="s">
        <v>0</v>
      </c>
      <c r="C2" s="21"/>
      <c r="D2" s="21"/>
    </row>
    <row r="4" spans="2:4" x14ac:dyDescent="0.2">
      <c r="B4" s="1" t="s">
        <v>1</v>
      </c>
    </row>
    <row r="5" spans="2:4" ht="142" customHeight="1" x14ac:dyDescent="0.2">
      <c r="B5" s="2" t="s">
        <v>2</v>
      </c>
    </row>
    <row r="8" spans="2:4" x14ac:dyDescent="0.2">
      <c r="B8" s="1" t="s">
        <v>3</v>
      </c>
    </row>
    <row r="9" spans="2:4" x14ac:dyDescent="0.2">
      <c r="B9" s="3" t="s">
        <v>4</v>
      </c>
      <c r="C9" t="s">
        <v>5</v>
      </c>
    </row>
    <row r="10" spans="2:4" x14ac:dyDescent="0.2">
      <c r="B10" s="4" t="s">
        <v>6</v>
      </c>
      <c r="C10" t="s">
        <v>7</v>
      </c>
    </row>
    <row r="11" spans="2:4" x14ac:dyDescent="0.2">
      <c r="B11" s="5" t="s">
        <v>8</v>
      </c>
      <c r="C11" t="s">
        <v>9</v>
      </c>
    </row>
    <row r="12" spans="2:4" x14ac:dyDescent="0.2">
      <c r="B12" s="6" t="s">
        <v>10</v>
      </c>
      <c r="C12" t="s">
        <v>11</v>
      </c>
    </row>
    <row r="14" spans="2:4" x14ac:dyDescent="0.2">
      <c r="B14" s="1" t="s">
        <v>12</v>
      </c>
    </row>
    <row r="15" spans="2:4" ht="117" customHeight="1" x14ac:dyDescent="0.2">
      <c r="B15" s="7" t="s">
        <v>13</v>
      </c>
    </row>
  </sheetData>
  <sheetProtection sheet="1" objects="1" scenarios="1" selectLockedCells="1" selectUnlockedCells="1"/>
  <mergeCells count="1">
    <mergeCell ref="B2:D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5"/>
  <sheetViews>
    <sheetView showGridLines="0" workbookViewId="0">
      <selection activeCell="F24" sqref="F24:F25"/>
    </sheetView>
  </sheetViews>
  <sheetFormatPr baseColWidth="10" defaultColWidth="8.83203125" defaultRowHeight="15" x14ac:dyDescent="0.2"/>
  <cols>
    <col min="1" max="1" width="22" customWidth="1"/>
    <col min="2" max="3" width="12" customWidth="1"/>
    <col min="4" max="4" width="58" customWidth="1"/>
  </cols>
  <sheetData>
    <row r="1" spans="1:5" ht="17" x14ac:dyDescent="0.2">
      <c r="A1" s="22" t="s">
        <v>14</v>
      </c>
      <c r="B1" s="21"/>
      <c r="C1" s="21"/>
      <c r="D1" s="21"/>
    </row>
    <row r="2" spans="1:5" x14ac:dyDescent="0.2">
      <c r="E2" t="s">
        <v>15</v>
      </c>
    </row>
    <row r="3" spans="1:5" x14ac:dyDescent="0.2">
      <c r="A3" s="1" t="s">
        <v>16</v>
      </c>
      <c r="B3" s="1" t="s">
        <v>17</v>
      </c>
      <c r="C3" s="1" t="s">
        <v>18</v>
      </c>
      <c r="D3" s="1" t="s">
        <v>19</v>
      </c>
      <c r="E3" t="s">
        <v>20</v>
      </c>
    </row>
    <row r="4" spans="1:5" ht="32" x14ac:dyDescent="0.2">
      <c r="A4" s="8" t="s">
        <v>21</v>
      </c>
      <c r="B4" s="9">
        <v>7.0000000000000007E-2</v>
      </c>
      <c r="C4" s="9">
        <v>1.2E-2</v>
      </c>
      <c r="D4" s="7" t="s">
        <v>22</v>
      </c>
    </row>
    <row r="5" spans="1:5" ht="16" x14ac:dyDescent="0.2">
      <c r="A5" s="8" t="s">
        <v>23</v>
      </c>
      <c r="B5" s="9">
        <v>0.08</v>
      </c>
      <c r="C5" s="9">
        <v>1.4999999999999999E-2</v>
      </c>
      <c r="D5" s="7" t="s">
        <v>24</v>
      </c>
    </row>
    <row r="6" spans="1:5" ht="16" x14ac:dyDescent="0.2">
      <c r="A6" s="8" t="s">
        <v>25</v>
      </c>
      <c r="B6" s="9">
        <v>0.08</v>
      </c>
      <c r="C6" s="9">
        <v>1.2E-2</v>
      </c>
      <c r="D6" s="7" t="s">
        <v>24</v>
      </c>
    </row>
    <row r="7" spans="1:5" ht="16" x14ac:dyDescent="0.2">
      <c r="A7" s="8" t="s">
        <v>26</v>
      </c>
      <c r="B7" s="9">
        <v>0.08</v>
      </c>
      <c r="C7" s="9">
        <v>1.4999999999999999E-2</v>
      </c>
      <c r="D7" s="7" t="s">
        <v>27</v>
      </c>
    </row>
    <row r="8" spans="1:5" ht="32" x14ac:dyDescent="0.2">
      <c r="A8" s="8" t="s">
        <v>28</v>
      </c>
      <c r="B8" s="9">
        <v>6.5000000000000002E-2</v>
      </c>
      <c r="C8" s="9">
        <v>0.01</v>
      </c>
      <c r="D8" s="7" t="s">
        <v>29</v>
      </c>
    </row>
    <row r="9" spans="1:5" ht="16" x14ac:dyDescent="0.2">
      <c r="A9" s="8" t="s">
        <v>30</v>
      </c>
      <c r="B9" s="9">
        <v>0.09</v>
      </c>
      <c r="C9" s="9">
        <v>1.4999999999999999E-2</v>
      </c>
      <c r="D9" s="7" t="s">
        <v>24</v>
      </c>
    </row>
    <row r="10" spans="1:5" ht="16" x14ac:dyDescent="0.2">
      <c r="A10" s="8" t="s">
        <v>31</v>
      </c>
      <c r="B10" s="9">
        <v>0.09</v>
      </c>
      <c r="C10" s="9">
        <v>1.4999999999999999E-2</v>
      </c>
      <c r="D10" s="7" t="s">
        <v>24</v>
      </c>
    </row>
    <row r="11" spans="1:5" ht="16" x14ac:dyDescent="0.2">
      <c r="A11" s="8" t="s">
        <v>32</v>
      </c>
      <c r="B11" s="9">
        <v>0.08</v>
      </c>
      <c r="C11" s="9">
        <v>1.4999999999999999E-2</v>
      </c>
      <c r="D11" s="7" t="s">
        <v>33</v>
      </c>
    </row>
    <row r="12" spans="1:5" ht="32" x14ac:dyDescent="0.2">
      <c r="A12" s="8" t="s">
        <v>34</v>
      </c>
      <c r="B12" s="9">
        <v>0.1</v>
      </c>
      <c r="C12" s="9">
        <v>1.4999999999999999E-2</v>
      </c>
      <c r="D12" s="7" t="s">
        <v>35</v>
      </c>
    </row>
    <row r="13" spans="1:5" ht="16" x14ac:dyDescent="0.2">
      <c r="A13" s="8" t="s">
        <v>36</v>
      </c>
      <c r="B13" s="9">
        <v>0.06</v>
      </c>
      <c r="C13" s="9">
        <v>7.4999999999999997E-3</v>
      </c>
      <c r="D13" s="7" t="s">
        <v>24</v>
      </c>
    </row>
    <row r="14" spans="1:5" ht="32" x14ac:dyDescent="0.2">
      <c r="A14" s="8" t="s">
        <v>37</v>
      </c>
      <c r="B14" s="9">
        <v>0.1</v>
      </c>
      <c r="C14" s="9">
        <v>1.4999999999999999E-2</v>
      </c>
      <c r="D14" s="7" t="s">
        <v>38</v>
      </c>
    </row>
    <row r="15" spans="1:5" ht="16" x14ac:dyDescent="0.2">
      <c r="A15" s="8" t="s">
        <v>39</v>
      </c>
      <c r="B15" s="9">
        <v>0.08</v>
      </c>
      <c r="C15" s="9">
        <v>1.4999999999999999E-2</v>
      </c>
      <c r="D15" s="7" t="s">
        <v>40</v>
      </c>
    </row>
    <row r="16" spans="1:5" ht="16" x14ac:dyDescent="0.2">
      <c r="A16" s="8" t="s">
        <v>41</v>
      </c>
      <c r="B16" s="9">
        <v>0.08</v>
      </c>
      <c r="C16" s="9">
        <v>1.4999999999999999E-2</v>
      </c>
      <c r="D16" s="7" t="s">
        <v>24</v>
      </c>
    </row>
    <row r="17" spans="1:4" ht="16" x14ac:dyDescent="0.2">
      <c r="A17" s="8" t="s">
        <v>42</v>
      </c>
      <c r="B17" s="9">
        <v>7.0000000000000007E-2</v>
      </c>
      <c r="C17" s="9">
        <v>0.01</v>
      </c>
      <c r="D17" s="7" t="s">
        <v>24</v>
      </c>
    </row>
    <row r="18" spans="1:4" ht="16" x14ac:dyDescent="0.2">
      <c r="A18" s="8" t="s">
        <v>43</v>
      </c>
      <c r="B18" s="9">
        <v>0.08</v>
      </c>
      <c r="C18" s="9">
        <v>1.4999999999999999E-2</v>
      </c>
      <c r="D18" s="7" t="s">
        <v>24</v>
      </c>
    </row>
    <row r="19" spans="1:4" ht="16" x14ac:dyDescent="0.2">
      <c r="A19" s="8" t="s">
        <v>44</v>
      </c>
      <c r="B19" s="9">
        <v>0.06</v>
      </c>
      <c r="C19" s="9">
        <v>5.0000000000000001E-3</v>
      </c>
      <c r="D19" s="7" t="s">
        <v>45</v>
      </c>
    </row>
    <row r="20" spans="1:4" ht="16" x14ac:dyDescent="0.2">
      <c r="A20" s="8" t="s">
        <v>46</v>
      </c>
      <c r="B20" s="9">
        <v>7.0000000000000007E-2</v>
      </c>
      <c r="C20" s="9">
        <v>5.0000000000000001E-3</v>
      </c>
      <c r="D20" s="7" t="s">
        <v>47</v>
      </c>
    </row>
    <row r="23" spans="1:4" x14ac:dyDescent="0.2">
      <c r="A23" t="s">
        <v>48</v>
      </c>
      <c r="B23" s="10">
        <v>0.1</v>
      </c>
      <c r="D23" t="s">
        <v>49</v>
      </c>
    </row>
    <row r="25" spans="1:4" x14ac:dyDescent="0.2">
      <c r="A25" t="s">
        <v>50</v>
      </c>
      <c r="B25" t="s">
        <v>51</v>
      </c>
      <c r="D25" t="s">
        <v>52</v>
      </c>
    </row>
  </sheetData>
  <sheetProtection sheet="1" objects="1" scenarios="1" selectLockedCells="1"/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9"/>
  <sheetViews>
    <sheetView showGridLines="0" workbookViewId="0">
      <selection activeCell="B21" sqref="B21"/>
    </sheetView>
  </sheetViews>
  <sheetFormatPr baseColWidth="10" defaultColWidth="8.83203125" defaultRowHeight="15" x14ac:dyDescent="0.2"/>
  <cols>
    <col min="1" max="1" width="30" customWidth="1"/>
    <col min="2" max="2" width="18" customWidth="1"/>
    <col min="3" max="3" width="22" customWidth="1"/>
    <col min="4" max="4" width="4" customWidth="1"/>
    <col min="5" max="5" width="32" customWidth="1"/>
    <col min="6" max="7" width="18" customWidth="1"/>
  </cols>
  <sheetData>
    <row r="1" spans="1:7" ht="17" x14ac:dyDescent="0.2">
      <c r="A1" s="23" t="s">
        <v>53</v>
      </c>
      <c r="B1" s="21"/>
      <c r="C1" s="21"/>
      <c r="D1" s="21"/>
      <c r="E1" s="21"/>
      <c r="F1" s="21"/>
      <c r="G1" s="21"/>
    </row>
    <row r="3" spans="1:7" x14ac:dyDescent="0.2">
      <c r="A3" s="1" t="s">
        <v>4</v>
      </c>
      <c r="E3" s="1" t="s">
        <v>54</v>
      </c>
    </row>
    <row r="4" spans="1:7" ht="21" customHeight="1" x14ac:dyDescent="0.2">
      <c r="A4" s="11" t="s">
        <v>55</v>
      </c>
      <c r="B4" s="24" t="s">
        <v>34</v>
      </c>
      <c r="C4" s="7" t="s">
        <v>56</v>
      </c>
      <c r="E4" s="11" t="s">
        <v>57</v>
      </c>
      <c r="F4" s="12">
        <f>INDEX(Parametros_CCAA!$B$4:$B$20,MATCH(B4,Parametros_CCAA!$A$4:$A$20,0))</f>
        <v>0.1</v>
      </c>
    </row>
    <row r="5" spans="1:7" ht="21" customHeight="1" x14ac:dyDescent="0.2">
      <c r="A5" s="11" t="s">
        <v>58</v>
      </c>
      <c r="B5" s="24" t="s">
        <v>15</v>
      </c>
      <c r="C5" s="7" t="s">
        <v>59</v>
      </c>
      <c r="E5" s="11" t="s">
        <v>60</v>
      </c>
      <c r="F5" s="12">
        <f>INDEX(Parametros_CCAA!$C$4:$C$20,MATCH(B4,Parametros_CCAA!$A$4:$A$20,0))</f>
        <v>1.4999999999999999E-2</v>
      </c>
    </row>
    <row r="6" spans="1:7" ht="21" customHeight="1" x14ac:dyDescent="0.2">
      <c r="A6" s="11" t="s">
        <v>61</v>
      </c>
      <c r="B6" s="25">
        <v>180000</v>
      </c>
      <c r="C6" s="7" t="s">
        <v>62</v>
      </c>
      <c r="E6" s="11" t="s">
        <v>63</v>
      </c>
      <c r="F6" s="13">
        <f>Parametros_CCAA!$B$23</f>
        <v>0.1</v>
      </c>
    </row>
    <row r="7" spans="1:7" ht="21" customHeight="1" x14ac:dyDescent="0.2">
      <c r="A7" s="11" t="s">
        <v>64</v>
      </c>
      <c r="B7" s="25">
        <v>190000</v>
      </c>
      <c r="C7" s="7" t="s">
        <v>65</v>
      </c>
      <c r="E7" s="11" t="s">
        <v>66</v>
      </c>
      <c r="F7" s="13">
        <f>IF(B5="Segunda mano",MAX(B6,B7),B6)</f>
        <v>190000</v>
      </c>
    </row>
    <row r="8" spans="1:7" ht="21" customHeight="1" x14ac:dyDescent="0.2">
      <c r="A8" s="11" t="s">
        <v>67</v>
      </c>
      <c r="B8" s="25">
        <v>12000</v>
      </c>
      <c r="C8" s="7" t="s">
        <v>62</v>
      </c>
      <c r="E8" s="11" t="s">
        <v>68</v>
      </c>
      <c r="F8" s="13">
        <f>IF(B5="Segunda mano",F7*F4,0)</f>
        <v>19000</v>
      </c>
    </row>
    <row r="9" spans="1:7" ht="21" customHeight="1" x14ac:dyDescent="0.2">
      <c r="A9" s="11" t="s">
        <v>69</v>
      </c>
      <c r="B9" s="25">
        <v>2500</v>
      </c>
      <c r="C9" s="7" t="s">
        <v>62</v>
      </c>
      <c r="E9" s="11" t="s">
        <v>70</v>
      </c>
      <c r="F9" s="13">
        <f>IF(B5="Obra nueva",B6*F6,0)</f>
        <v>0</v>
      </c>
    </row>
    <row r="10" spans="1:7" ht="21" customHeight="1" x14ac:dyDescent="0.2">
      <c r="A10" s="11" t="s">
        <v>71</v>
      </c>
      <c r="B10" s="25">
        <v>3000</v>
      </c>
      <c r="C10" s="7" t="s">
        <v>62</v>
      </c>
      <c r="E10" s="11" t="s">
        <v>72</v>
      </c>
      <c r="F10" s="13">
        <f>IF(B5="Obra nueva",B6*F5,0)</f>
        <v>0</v>
      </c>
    </row>
    <row r="11" spans="1:7" ht="21" customHeight="1" x14ac:dyDescent="0.2">
      <c r="A11" s="11" t="s">
        <v>73</v>
      </c>
      <c r="B11" s="26">
        <v>0.7</v>
      </c>
      <c r="C11" s="7" t="s">
        <v>62</v>
      </c>
      <c r="E11" s="11" t="s">
        <v>74</v>
      </c>
      <c r="F11" s="13">
        <f>B11*B6</f>
        <v>125999.99999999999</v>
      </c>
    </row>
    <row r="12" spans="1:7" ht="21" customHeight="1" x14ac:dyDescent="0.2">
      <c r="A12" s="11" t="s">
        <v>75</v>
      </c>
      <c r="B12" s="26">
        <v>3.5000000000000003E-2</v>
      </c>
      <c r="C12" s="7" t="s">
        <v>62</v>
      </c>
      <c r="E12" s="11" t="s">
        <v>76</v>
      </c>
      <c r="F12" s="13">
        <f>B6-F11</f>
        <v>54000.000000000015</v>
      </c>
    </row>
    <row r="13" spans="1:7" ht="21" customHeight="1" x14ac:dyDescent="0.2">
      <c r="A13" s="11" t="s">
        <v>77</v>
      </c>
      <c r="B13" s="27">
        <v>25</v>
      </c>
      <c r="C13" s="7" t="s">
        <v>62</v>
      </c>
      <c r="E13" s="11" t="s">
        <v>78</v>
      </c>
      <c r="F13" s="13">
        <f>B6+B8+B9+B10+F8+F9+F10</f>
        <v>216500</v>
      </c>
    </row>
    <row r="14" spans="1:7" ht="21" customHeight="1" x14ac:dyDescent="0.2">
      <c r="A14" s="11" t="s">
        <v>79</v>
      </c>
      <c r="B14" s="25">
        <v>1200</v>
      </c>
      <c r="C14" s="7" t="s">
        <v>62</v>
      </c>
      <c r="E14" s="11" t="s">
        <v>80</v>
      </c>
      <c r="F14" s="13">
        <f>F13-F11</f>
        <v>90500.000000000015</v>
      </c>
    </row>
    <row r="15" spans="1:7" ht="21" customHeight="1" x14ac:dyDescent="0.2">
      <c r="A15" s="11" t="s">
        <v>81</v>
      </c>
      <c r="B15" s="26">
        <v>0.05</v>
      </c>
      <c r="C15" s="7" t="s">
        <v>62</v>
      </c>
      <c r="E15" s="11" t="s">
        <v>82</v>
      </c>
      <c r="F15" s="13">
        <f>IF(B11=0,0,-PMT(B12/12,B13*12,F11)*12)</f>
        <v>7569.428382323531</v>
      </c>
    </row>
    <row r="16" spans="1:7" ht="21" customHeight="1" x14ac:dyDescent="0.2">
      <c r="A16" s="11" t="s">
        <v>83</v>
      </c>
      <c r="B16" s="25">
        <v>900</v>
      </c>
      <c r="C16" s="7" t="s">
        <v>62</v>
      </c>
      <c r="E16" s="11" t="s">
        <v>84</v>
      </c>
      <c r="F16" s="13">
        <f>B14*12*(1-B15)</f>
        <v>13680</v>
      </c>
    </row>
    <row r="17" spans="1:6" ht="21" customHeight="1" x14ac:dyDescent="0.2">
      <c r="A17" s="11" t="s">
        <v>85</v>
      </c>
      <c r="B17" s="25">
        <v>500</v>
      </c>
      <c r="C17" s="7" t="s">
        <v>62</v>
      </c>
      <c r="E17" s="11" t="s">
        <v>86</v>
      </c>
      <c r="F17" s="13">
        <f>B14*12*(1-B15)*B20</f>
        <v>1094.4000000000001</v>
      </c>
    </row>
    <row r="18" spans="1:6" ht="21" customHeight="1" x14ac:dyDescent="0.2">
      <c r="A18" s="11" t="s">
        <v>87</v>
      </c>
      <c r="B18" s="25">
        <v>250</v>
      </c>
      <c r="C18" s="7" t="s">
        <v>62</v>
      </c>
      <c r="E18" s="11" t="s">
        <v>88</v>
      </c>
      <c r="F18" s="13">
        <f>SUM(B16:B19)+B21+F17</f>
        <v>3944.4</v>
      </c>
    </row>
    <row r="19" spans="1:6" ht="21" customHeight="1" x14ac:dyDescent="0.2">
      <c r="A19" s="11" t="s">
        <v>89</v>
      </c>
      <c r="B19" s="25">
        <v>900</v>
      </c>
      <c r="C19" s="7" t="s">
        <v>62</v>
      </c>
      <c r="E19" s="11" t="s">
        <v>90</v>
      </c>
      <c r="F19" s="13">
        <f>F16-F18</f>
        <v>9735.6</v>
      </c>
    </row>
    <row r="20" spans="1:6" ht="21" customHeight="1" x14ac:dyDescent="0.2">
      <c r="A20" s="11" t="s">
        <v>91</v>
      </c>
      <c r="B20" s="26">
        <v>0.08</v>
      </c>
      <c r="C20" s="7" t="s">
        <v>62</v>
      </c>
      <c r="E20" s="11" t="s">
        <v>92</v>
      </c>
      <c r="F20" s="13">
        <f>F11*B12</f>
        <v>4410</v>
      </c>
    </row>
    <row r="21" spans="1:6" ht="21" customHeight="1" x14ac:dyDescent="0.2">
      <c r="A21" s="11" t="s">
        <v>93</v>
      </c>
      <c r="B21" s="25">
        <v>300</v>
      </c>
      <c r="C21" s="7" t="s">
        <v>62</v>
      </c>
      <c r="E21" s="11" t="s">
        <v>94</v>
      </c>
      <c r="F21" s="13">
        <f>B6*B24*0.03</f>
        <v>4320</v>
      </c>
    </row>
    <row r="22" spans="1:6" ht="21" customHeight="1" x14ac:dyDescent="0.2">
      <c r="A22" s="11" t="s">
        <v>95</v>
      </c>
      <c r="B22" s="26">
        <v>0.3</v>
      </c>
      <c r="C22" s="7" t="s">
        <v>96</v>
      </c>
      <c r="E22" s="11" t="s">
        <v>97</v>
      </c>
      <c r="F22" s="13">
        <f>MAX(0,F16-(SUM(B16:B19)+B21+F20+F21+F17))</f>
        <v>1005.6000000000004</v>
      </c>
    </row>
    <row r="23" spans="1:6" ht="31" customHeight="1" x14ac:dyDescent="0.2">
      <c r="A23" s="11" t="s">
        <v>98</v>
      </c>
      <c r="B23" s="26">
        <v>0.5</v>
      </c>
      <c r="C23" s="7" t="s">
        <v>99</v>
      </c>
      <c r="E23" s="11" t="s">
        <v>100</v>
      </c>
      <c r="F23" s="13">
        <f>MAX(0,F22*(1-B23))</f>
        <v>502.80000000000018</v>
      </c>
    </row>
    <row r="24" spans="1:6" ht="33" customHeight="1" x14ac:dyDescent="0.2">
      <c r="A24" s="11" t="s">
        <v>101</v>
      </c>
      <c r="B24" s="26">
        <v>0.8</v>
      </c>
      <c r="C24" s="7" t="s">
        <v>102</v>
      </c>
      <c r="E24" s="11" t="s">
        <v>103</v>
      </c>
      <c r="F24" s="13">
        <f>F23*B22</f>
        <v>150.84000000000006</v>
      </c>
    </row>
    <row r="25" spans="1:6" ht="21" customHeight="1" x14ac:dyDescent="0.2">
      <c r="A25" s="11"/>
      <c r="E25" s="11" t="s">
        <v>104</v>
      </c>
      <c r="F25" s="13">
        <f>F19-F15-F24</f>
        <v>2015.3316176764693</v>
      </c>
    </row>
    <row r="26" spans="1:6" ht="36" customHeight="1" x14ac:dyDescent="0.2">
      <c r="A26" s="11"/>
      <c r="E26" s="11" t="s">
        <v>105</v>
      </c>
      <c r="F26" s="12">
        <f>F16/F13</f>
        <v>6.3187066974595849E-2</v>
      </c>
    </row>
    <row r="27" spans="1:6" ht="21" customHeight="1" x14ac:dyDescent="0.2">
      <c r="A27" s="11"/>
      <c r="E27" s="11" t="s">
        <v>106</v>
      </c>
      <c r="F27" s="12">
        <f>F19/F13</f>
        <v>4.4968129330254042E-2</v>
      </c>
    </row>
    <row r="28" spans="1:6" ht="21" customHeight="1" x14ac:dyDescent="0.2">
      <c r="A28" s="14" t="s">
        <v>107</v>
      </c>
      <c r="E28" s="11" t="s">
        <v>108</v>
      </c>
      <c r="F28" s="12">
        <f>IF(F14=0,0,F25/F14)</f>
        <v>2.2268857653883634E-2</v>
      </c>
    </row>
    <row r="29" spans="1:6" ht="21" customHeight="1" x14ac:dyDescent="0.2">
      <c r="A29" s="11" t="s">
        <v>109</v>
      </c>
      <c r="B29" s="15" t="str">
        <f>IF(F28&gt;=0.1,"VERDE",IF(F28&gt;=0.05,"AMARILLO","ROJO"))</f>
        <v>ROJO</v>
      </c>
      <c r="E29" s="11"/>
    </row>
    <row r="30" spans="1:6" ht="36" customHeight="1" x14ac:dyDescent="0.2">
      <c r="A30" s="11" t="s">
        <v>110</v>
      </c>
      <c r="B30" s="19" t="str">
        <f>IF(B29="VERDE","La operación pasa con buen cash-on-cash.","Si está en AMARILLO o ROJO, renegocia precio, renta o costes.")</f>
        <v>Si está en AMARILLO o ROJO, renegocia precio, renta o costes.</v>
      </c>
      <c r="C30" s="18"/>
      <c r="E30" s="11"/>
    </row>
    <row r="31" spans="1:6" x14ac:dyDescent="0.2">
      <c r="A31" s="11"/>
      <c r="B31" s="18"/>
      <c r="C31" s="18"/>
      <c r="E31" s="11"/>
    </row>
    <row r="32" spans="1:6" x14ac:dyDescent="0.2">
      <c r="A32" s="11"/>
      <c r="E32" s="11"/>
    </row>
    <row r="33" spans="1:5" x14ac:dyDescent="0.2">
      <c r="A33" s="11"/>
      <c r="E33" s="11"/>
    </row>
    <row r="34" spans="1:5" x14ac:dyDescent="0.2">
      <c r="A34" s="11"/>
      <c r="E34" s="11"/>
    </row>
    <row r="35" spans="1:5" x14ac:dyDescent="0.2">
      <c r="A35" s="11"/>
      <c r="E35" s="11"/>
    </row>
    <row r="36" spans="1:5" x14ac:dyDescent="0.2">
      <c r="A36" s="11"/>
      <c r="E36" s="11"/>
    </row>
    <row r="37" spans="1:5" x14ac:dyDescent="0.2">
      <c r="A37" s="11"/>
      <c r="E37" s="11"/>
    </row>
    <row r="38" spans="1:5" x14ac:dyDescent="0.2">
      <c r="A38" s="11"/>
      <c r="E38" s="11"/>
    </row>
    <row r="39" spans="1:5" x14ac:dyDescent="0.2">
      <c r="A39" s="11"/>
      <c r="E39" s="11"/>
    </row>
  </sheetData>
  <sheetProtection sheet="1" objects="1" scenarios="1" selectLockedCells="1"/>
  <mergeCells count="2">
    <mergeCell ref="A1:G1"/>
    <mergeCell ref="B30:C31"/>
  </mergeCells>
  <conditionalFormatting sqref="B29">
    <cfRule type="cellIs" dxfId="5" priority="1" operator="equal">
      <formula>"VERDE"</formula>
    </cfRule>
    <cfRule type="cellIs" dxfId="4" priority="2" operator="equal">
      <formula>"AMARILLO"</formula>
    </cfRule>
    <cfRule type="cellIs" dxfId="3" priority="3" operator="equal">
      <formula>"ROJO"</formula>
    </cfRule>
  </conditionalFormatting>
  <pageMargins left="0.7" right="0.7" top="0.75" bottom="0.75" header="0.3" footer="0.3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xr:uid="{00000000-0002-0000-0200-000000000000}">
          <x14:formula1>
            <xm:f>Parametros_CCAA!$A$4:$A$20</xm:f>
          </x14:formula1>
          <xm:sqref>B4</xm:sqref>
        </x14:dataValidation>
        <x14:dataValidation type="list" xr:uid="{00000000-0002-0000-0200-000001000000}">
          <x14:formula1>
            <xm:f>Parametros_CCAA!$E$2:$E$3</xm:f>
          </x14:formula1>
          <xm:sqref>B5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9"/>
  <sheetViews>
    <sheetView showGridLines="0" workbookViewId="0">
      <selection activeCell="B4" sqref="B4"/>
    </sheetView>
  </sheetViews>
  <sheetFormatPr baseColWidth="10" defaultColWidth="8.83203125" defaultRowHeight="15" x14ac:dyDescent="0.2"/>
  <cols>
    <col min="1" max="1" width="30" customWidth="1"/>
    <col min="2" max="2" width="18" customWidth="1"/>
    <col min="3" max="3" width="22" customWidth="1"/>
    <col min="4" max="4" width="4" customWidth="1"/>
    <col min="5" max="5" width="32" customWidth="1"/>
    <col min="6" max="7" width="18" customWidth="1"/>
  </cols>
  <sheetData>
    <row r="1" spans="1:7" ht="17" x14ac:dyDescent="0.2">
      <c r="A1" s="23" t="s">
        <v>111</v>
      </c>
      <c r="B1" s="21"/>
      <c r="C1" s="21"/>
      <c r="D1" s="21"/>
      <c r="E1" s="21"/>
      <c r="F1" s="21"/>
      <c r="G1" s="21"/>
    </row>
    <row r="3" spans="1:7" x14ac:dyDescent="0.2">
      <c r="A3" s="1" t="s">
        <v>4</v>
      </c>
      <c r="E3" s="1" t="s">
        <v>54</v>
      </c>
    </row>
    <row r="4" spans="1:7" ht="31" customHeight="1" x14ac:dyDescent="0.2">
      <c r="A4" s="11" t="s">
        <v>55</v>
      </c>
      <c r="B4" s="24" t="s">
        <v>34</v>
      </c>
      <c r="C4" s="7" t="s">
        <v>56</v>
      </c>
      <c r="E4" s="11" t="s">
        <v>57</v>
      </c>
      <c r="F4" s="16">
        <f>INDEX(Parametros_CCAA!$B$4:$B$20,MATCH(B4,Parametros_CCAA!$A$4:$A$20,0))</f>
        <v>0.1</v>
      </c>
    </row>
    <row r="5" spans="1:7" ht="21" customHeight="1" x14ac:dyDescent="0.2">
      <c r="A5" s="11" t="s">
        <v>58</v>
      </c>
      <c r="B5" s="24" t="s">
        <v>15</v>
      </c>
      <c r="C5" s="7" t="s">
        <v>59</v>
      </c>
      <c r="E5" s="11" t="s">
        <v>60</v>
      </c>
      <c r="F5" s="16">
        <f>INDEX(Parametros_CCAA!$C$4:$C$20,MATCH(B4,Parametros_CCAA!$A$4:$A$20,0))</f>
        <v>1.4999999999999999E-2</v>
      </c>
    </row>
    <row r="6" spans="1:7" ht="21" customHeight="1" x14ac:dyDescent="0.2">
      <c r="A6" s="11" t="s">
        <v>61</v>
      </c>
      <c r="B6" s="25">
        <v>150000</v>
      </c>
      <c r="C6" s="7" t="s">
        <v>62</v>
      </c>
      <c r="E6" s="11" t="s">
        <v>63</v>
      </c>
      <c r="F6" s="16">
        <f>Parametros_CCAA!$B$23</f>
        <v>0.1</v>
      </c>
    </row>
    <row r="7" spans="1:7" ht="21" customHeight="1" x14ac:dyDescent="0.2">
      <c r="A7" s="11" t="s">
        <v>64</v>
      </c>
      <c r="B7" s="25">
        <v>155000</v>
      </c>
      <c r="C7" s="7" t="s">
        <v>62</v>
      </c>
      <c r="E7" s="11" t="s">
        <v>66</v>
      </c>
      <c r="F7" s="17">
        <f>IF(B5="Segunda mano",MAX(B6,B7),B6)</f>
        <v>155000</v>
      </c>
    </row>
    <row r="8" spans="1:7" ht="21" customHeight="1" x14ac:dyDescent="0.2">
      <c r="A8" s="11" t="s">
        <v>112</v>
      </c>
      <c r="B8" s="25">
        <v>35000</v>
      </c>
      <c r="C8" s="7" t="s">
        <v>62</v>
      </c>
      <c r="E8" s="11" t="s">
        <v>68</v>
      </c>
      <c r="F8" s="17">
        <f>IF(B5="Segunda mano",F7*F4,0)</f>
        <v>15500</v>
      </c>
    </row>
    <row r="9" spans="1:7" ht="21" customHeight="1" x14ac:dyDescent="0.2">
      <c r="A9" s="11" t="s">
        <v>113</v>
      </c>
      <c r="B9" s="25">
        <v>5000</v>
      </c>
      <c r="C9" s="7" t="s">
        <v>62</v>
      </c>
      <c r="E9" s="11" t="s">
        <v>70</v>
      </c>
      <c r="F9" s="17">
        <f>IF(B5="Obra nueva",B6*F6,0)</f>
        <v>0</v>
      </c>
    </row>
    <row r="10" spans="1:7" ht="21" customHeight="1" x14ac:dyDescent="0.2">
      <c r="A10" s="11" t="s">
        <v>69</v>
      </c>
      <c r="B10" s="25">
        <v>2500</v>
      </c>
      <c r="C10" s="7" t="s">
        <v>62</v>
      </c>
      <c r="E10" s="11" t="s">
        <v>72</v>
      </c>
      <c r="F10" s="17">
        <f>IF(B5="Obra nueva",B6*F5,0)</f>
        <v>0</v>
      </c>
    </row>
    <row r="11" spans="1:7" ht="21" customHeight="1" x14ac:dyDescent="0.2">
      <c r="A11" s="11" t="s">
        <v>114</v>
      </c>
      <c r="B11" s="25">
        <v>3000</v>
      </c>
      <c r="C11" s="7" t="s">
        <v>62</v>
      </c>
      <c r="E11" s="11" t="s">
        <v>74</v>
      </c>
      <c r="F11" s="17">
        <f>B12*B6</f>
        <v>90000</v>
      </c>
    </row>
    <row r="12" spans="1:7" ht="21" customHeight="1" x14ac:dyDescent="0.2">
      <c r="A12" s="11" t="s">
        <v>73</v>
      </c>
      <c r="B12" s="26">
        <v>0.6</v>
      </c>
      <c r="C12" s="7" t="s">
        <v>62</v>
      </c>
      <c r="E12" s="11" t="s">
        <v>115</v>
      </c>
      <c r="F12" s="17">
        <f>F11*B13*(B14/12)</f>
        <v>2400</v>
      </c>
    </row>
    <row r="13" spans="1:7" ht="21" customHeight="1" x14ac:dyDescent="0.2">
      <c r="A13" s="11" t="s">
        <v>75</v>
      </c>
      <c r="B13" s="26">
        <v>0.04</v>
      </c>
      <c r="C13" s="7" t="s">
        <v>62</v>
      </c>
      <c r="E13" s="11" t="s">
        <v>116</v>
      </c>
      <c r="F13" s="17">
        <f>(B8+B9)*B18</f>
        <v>4000</v>
      </c>
    </row>
    <row r="14" spans="1:7" ht="21" customHeight="1" x14ac:dyDescent="0.2">
      <c r="A14" s="11" t="s">
        <v>117</v>
      </c>
      <c r="B14" s="27">
        <v>8</v>
      </c>
      <c r="C14" s="7" t="s">
        <v>62</v>
      </c>
      <c r="E14" s="11" t="s">
        <v>118</v>
      </c>
      <c r="F14" s="17">
        <f>B6+B8+B9+B10+B11+F8+F9+F10+F12+F13</f>
        <v>217400</v>
      </c>
    </row>
    <row r="15" spans="1:7" ht="21" customHeight="1" x14ac:dyDescent="0.2">
      <c r="A15" s="11" t="s">
        <v>119</v>
      </c>
      <c r="B15" s="25">
        <v>255000</v>
      </c>
      <c r="C15" s="7" t="s">
        <v>62</v>
      </c>
      <c r="E15" s="11" t="s">
        <v>120</v>
      </c>
      <c r="F15" s="17">
        <f>B15*B16+B17</f>
        <v>12700</v>
      </c>
    </row>
    <row r="16" spans="1:7" ht="21" customHeight="1" x14ac:dyDescent="0.2">
      <c r="A16" s="11" t="s">
        <v>121</v>
      </c>
      <c r="B16" s="26">
        <v>0.04</v>
      </c>
      <c r="C16" s="7" t="s">
        <v>62</v>
      </c>
      <c r="E16" s="11" t="s">
        <v>122</v>
      </c>
      <c r="F16" s="17">
        <f>B15-F14-F15</f>
        <v>24900</v>
      </c>
    </row>
    <row r="17" spans="1:6" ht="21" customHeight="1" x14ac:dyDescent="0.2">
      <c r="A17" s="11" t="s">
        <v>123</v>
      </c>
      <c r="B17" s="25">
        <v>2500</v>
      </c>
      <c r="C17" s="7" t="s">
        <v>62</v>
      </c>
      <c r="E17" s="11" t="s">
        <v>124</v>
      </c>
      <c r="F17" s="17">
        <f>IF(F16&gt;0,F16*B19,0)</f>
        <v>5727</v>
      </c>
    </row>
    <row r="18" spans="1:6" ht="21" customHeight="1" x14ac:dyDescent="0.2">
      <c r="A18" s="11" t="s">
        <v>125</v>
      </c>
      <c r="B18" s="26">
        <v>0.1</v>
      </c>
      <c r="C18" s="7" t="s">
        <v>62</v>
      </c>
      <c r="E18" s="11" t="s">
        <v>126</v>
      </c>
      <c r="F18" s="17">
        <f>F16-F17</f>
        <v>19173</v>
      </c>
    </row>
    <row r="19" spans="1:6" ht="17" customHeight="1" x14ac:dyDescent="0.2">
      <c r="A19" s="11" t="s">
        <v>127</v>
      </c>
      <c r="B19" s="26">
        <v>0.23</v>
      </c>
      <c r="C19" s="7" t="s">
        <v>128</v>
      </c>
      <c r="E19" s="11" t="s">
        <v>129</v>
      </c>
      <c r="F19" s="17">
        <f>F14-F11</f>
        <v>127400</v>
      </c>
    </row>
    <row r="20" spans="1:6" ht="21" customHeight="1" x14ac:dyDescent="0.2">
      <c r="A20" s="11"/>
      <c r="E20" s="11" t="s">
        <v>130</v>
      </c>
      <c r="F20" s="16">
        <f>IF(F19=0,0,F18/F19)</f>
        <v>0.15049450549450549</v>
      </c>
    </row>
    <row r="21" spans="1:6" ht="21" customHeight="1" x14ac:dyDescent="0.2">
      <c r="A21" s="11"/>
      <c r="E21" s="11" t="s">
        <v>131</v>
      </c>
      <c r="F21" s="16">
        <f>IF(B15=0,0,F18/B15)</f>
        <v>7.5188235294117653E-2</v>
      </c>
    </row>
    <row r="22" spans="1:6" ht="21" customHeight="1" x14ac:dyDescent="0.2">
      <c r="A22" s="11"/>
      <c r="E22" s="11" t="s">
        <v>132</v>
      </c>
      <c r="F22" s="17">
        <f>(F14+B17)/(1-B16)</f>
        <v>229062.5</v>
      </c>
    </row>
    <row r="23" spans="1:6" ht="21" customHeight="1" x14ac:dyDescent="0.2">
      <c r="A23" s="11"/>
      <c r="E23" s="11"/>
    </row>
    <row r="24" spans="1:6" ht="21" customHeight="1" x14ac:dyDescent="0.2">
      <c r="A24" s="14" t="s">
        <v>107</v>
      </c>
      <c r="E24" s="11"/>
    </row>
    <row r="25" spans="1:6" ht="21" customHeight="1" x14ac:dyDescent="0.2">
      <c r="A25" s="11" t="s">
        <v>109</v>
      </c>
      <c r="B25" s="15" t="str">
        <f>IF(F20&gt;=0.2,"VERDE",IF(F20&gt;=0.12,"AMARILLO","ROJO"))</f>
        <v>AMARILLO</v>
      </c>
      <c r="E25" s="11"/>
    </row>
    <row r="26" spans="1:6" ht="36" customHeight="1" x14ac:dyDescent="0.2">
      <c r="A26" s="11" t="s">
        <v>110</v>
      </c>
      <c r="B26" s="19" t="str">
        <f>IF(B25="VERDE","Proyecto sano si la venta y plazos son realistas.","Revisa compra, obra, plazo o precio de salida.")</f>
        <v>Revisa compra, obra, plazo o precio de salida.</v>
      </c>
      <c r="C26" s="18"/>
      <c r="E26" s="11"/>
    </row>
    <row r="27" spans="1:6" ht="21" customHeight="1" x14ac:dyDescent="0.2">
      <c r="A27" s="11"/>
      <c r="B27" s="18"/>
      <c r="C27" s="18"/>
      <c r="E27" s="11"/>
    </row>
    <row r="28" spans="1:6" ht="21" customHeight="1" x14ac:dyDescent="0.2">
      <c r="A28" s="11"/>
      <c r="E28" s="11"/>
    </row>
    <row r="29" spans="1:6" ht="21" customHeight="1" x14ac:dyDescent="0.2">
      <c r="A29" s="11"/>
      <c r="E29" s="11"/>
    </row>
    <row r="30" spans="1:6" ht="36" customHeight="1" x14ac:dyDescent="0.2">
      <c r="A30" s="11"/>
      <c r="E30" s="11"/>
    </row>
    <row r="31" spans="1:6" x14ac:dyDescent="0.2">
      <c r="A31" s="11"/>
      <c r="E31" s="11"/>
    </row>
    <row r="32" spans="1:6" x14ac:dyDescent="0.2">
      <c r="A32" s="11"/>
      <c r="E32" s="11"/>
    </row>
    <row r="33" spans="1:5" x14ac:dyDescent="0.2">
      <c r="A33" s="11"/>
      <c r="E33" s="11"/>
    </row>
    <row r="34" spans="1:5" x14ac:dyDescent="0.2">
      <c r="A34" s="11"/>
      <c r="E34" s="11"/>
    </row>
    <row r="35" spans="1:5" x14ac:dyDescent="0.2">
      <c r="A35" s="11"/>
      <c r="E35" s="11"/>
    </row>
    <row r="36" spans="1:5" x14ac:dyDescent="0.2">
      <c r="A36" s="11"/>
      <c r="E36" s="11"/>
    </row>
    <row r="37" spans="1:5" x14ac:dyDescent="0.2">
      <c r="A37" s="11"/>
      <c r="E37" s="11"/>
    </row>
    <row r="38" spans="1:5" x14ac:dyDescent="0.2">
      <c r="A38" s="11"/>
      <c r="E38" s="11"/>
    </row>
    <row r="39" spans="1:5" x14ac:dyDescent="0.2">
      <c r="A39" s="11"/>
      <c r="E39" s="11"/>
    </row>
  </sheetData>
  <sheetProtection sheet="1" objects="1" scenarios="1" selectLockedCells="1"/>
  <mergeCells count="2">
    <mergeCell ref="B26:C27"/>
    <mergeCell ref="A1:G1"/>
  </mergeCells>
  <conditionalFormatting sqref="B25">
    <cfRule type="cellIs" dxfId="2" priority="1" operator="equal">
      <formula>"VERDE"</formula>
    </cfRule>
    <cfRule type="cellIs" dxfId="1" priority="2" operator="equal">
      <formula>"AMARILLO"</formula>
    </cfRule>
    <cfRule type="cellIs" dxfId="0" priority="3" operator="equal">
      <formula>"ROJO"</formula>
    </cfRule>
  </conditionalFormatting>
  <pageMargins left="0.7" right="0.7" top="0.75" bottom="0.75" header="0.3" footer="0.3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xr:uid="{00000000-0002-0000-0300-000000000000}">
          <x14:formula1>
            <xm:f>Parametros_CCAA!$A$4:$A$20</xm:f>
          </x14:formula1>
          <xm:sqref>B4</xm:sqref>
        </x14:dataValidation>
        <x14:dataValidation type="list" xr:uid="{00000000-0002-0000-0300-000001000000}">
          <x14:formula1>
            <xm:f>Parametros_CCAA!$E$2:$E$3</xm:f>
          </x14:formula1>
          <xm:sqref>B5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Inicio</vt:lpstr>
      <vt:lpstr>Parametros_CCAA</vt:lpstr>
      <vt:lpstr>Compra_Alquiler</vt:lpstr>
      <vt:lpstr>Flip_Reforma_Venta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kabr fru</cp:lastModifiedBy>
  <dcterms:created xsi:type="dcterms:W3CDTF">2026-03-08T03:58:06Z</dcterms:created>
  <dcterms:modified xsi:type="dcterms:W3CDTF">2026-03-08T04:05:40Z</dcterms:modified>
</cp:coreProperties>
</file>